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anfri\documenti a- Rete di Economia Solidale\Z26- COMUNITA' OPEROSA\Laboratorio Stili di vita sostenibili\Tavolo lavoro Luino\Laboratori\Laboratorio energia\Comunità energetiche\"/>
    </mc:Choice>
  </mc:AlternateContent>
  <bookViews>
    <workbookView xWindow="-110" yWindow="-110" windowWidth="23260" windowHeight="12580"/>
  </bookViews>
  <sheets>
    <sheet name="Foglio1" sheetId="1" r:id="rId1"/>
  </sheets>
  <definedNames>
    <definedName name="_xlnm.Print_Area" localSheetId="0">Foglio1!$A$1:$J$34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9" i="1" l="1"/>
  <c r="C34" i="1" l="1"/>
  <c r="G5" i="1"/>
  <c r="G2" i="1" l="1"/>
  <c r="G30" i="1" l="1"/>
  <c r="G8" i="1" l="1"/>
  <c r="G3" i="1"/>
  <c r="G23" i="1" l="1"/>
  <c r="G4" i="1" l="1"/>
  <c r="G6" i="1" s="1"/>
  <c r="G7" i="1" l="1"/>
  <c r="C29" i="1"/>
  <c r="C30" i="1"/>
  <c r="C31" i="1"/>
  <c r="C32" i="1" l="1"/>
  <c r="AC2" i="1"/>
  <c r="C33" i="1" l="1"/>
  <c r="G22" i="1" s="1"/>
  <c r="I10" i="1" l="1"/>
  <c r="G10" i="1" s="1"/>
  <c r="I11" i="1"/>
  <c r="G11" i="1" s="1"/>
  <c r="G16" i="1" l="1"/>
  <c r="G17" i="1"/>
  <c r="I12" i="1"/>
  <c r="G20" i="1"/>
  <c r="G27" i="1" l="1"/>
  <c r="G28" i="1" s="1"/>
  <c r="G12" i="1"/>
  <c r="G13" i="1" s="1"/>
  <c r="G18" i="1"/>
  <c r="G26" i="1" s="1"/>
  <c r="I13" i="1"/>
  <c r="G25" i="1" l="1"/>
  <c r="G24" i="1"/>
  <c r="G19" i="1"/>
  <c r="G21" i="1" s="1"/>
  <c r="G31" i="1" l="1"/>
  <c r="G32" i="1" s="1"/>
  <c r="AC11" i="1" l="1"/>
  <c r="AC14" i="1"/>
  <c r="AC9" i="1"/>
  <c r="AC3" i="1"/>
  <c r="AC6" i="1"/>
  <c r="AC15" i="1"/>
  <c r="AC17" i="1"/>
  <c r="AC18" i="1"/>
  <c r="AC8" i="1"/>
  <c r="AC16" i="1"/>
  <c r="AC5" i="1"/>
  <c r="AC21" i="1"/>
  <c r="AC4" i="1"/>
  <c r="AC20" i="1"/>
  <c r="AC12" i="1"/>
  <c r="AC22" i="1"/>
  <c r="AC13" i="1"/>
  <c r="AC10" i="1"/>
  <c r="AC7" i="1"/>
  <c r="AC19" i="1"/>
  <c r="G33" i="1" l="1"/>
  <c r="AC26" i="1"/>
  <c r="G34" i="1" s="1"/>
</calcChain>
</file>

<file path=xl/sharedStrings.xml><?xml version="1.0" encoding="utf-8"?>
<sst xmlns="http://schemas.openxmlformats.org/spreadsheetml/2006/main" count="161" uniqueCount="118">
  <si>
    <t>kW</t>
  </si>
  <si>
    <t>kWh/kW/anno</t>
  </si>
  <si>
    <t>€</t>
  </si>
  <si>
    <t>€/kWp</t>
  </si>
  <si>
    <t>Costo energia elettrica:</t>
  </si>
  <si>
    <t>Totale % energia:</t>
  </si>
  <si>
    <t>%</t>
  </si>
  <si>
    <t>anni</t>
  </si>
  <si>
    <t>kWh</t>
  </si>
  <si>
    <t>€/kWh</t>
  </si>
  <si>
    <t>Totale benefici (incentivi+risparmio):</t>
  </si>
  <si>
    <t xml:space="preserve"> </t>
  </si>
  <si>
    <t>prosumer/prod.</t>
  </si>
  <si>
    <t>consumatori</t>
  </si>
  <si>
    <t>kWh/anno</t>
  </si>
  <si>
    <t>RIPARTIZIONE INCENTIVI NELLA CER</t>
  </si>
  <si>
    <t>VALORI FINALI DELLA COMUNITA' ENERGETICA</t>
  </si>
  <si>
    <t>Totale risparmi da autoconsumo fisico:</t>
  </si>
  <si>
    <t>€/anno</t>
  </si>
  <si>
    <t>Tempo ritorno investimento per prosumer:</t>
  </si>
  <si>
    <t>Calcolo VAN e TIR</t>
  </si>
  <si>
    <t>Totale ricavi per incentivi/vendita energia:</t>
  </si>
  <si>
    <t>INSERIMENTO DATI DELLA COMUNITA' ENERGETICA</t>
  </si>
  <si>
    <t>STIMA DEI RISULTATI ECONOMICI E FINANZIARI</t>
  </si>
  <si>
    <t>VALORI ATTUALI DEGLI INCENTIVI</t>
  </si>
  <si>
    <t>Costo annuo gestione della CER:</t>
  </si>
  <si>
    <t>NOTE PER L'USO DEL SIMULATORE DI CER</t>
  </si>
  <si>
    <t>1)</t>
  </si>
  <si>
    <t>2)</t>
  </si>
  <si>
    <t>3)</t>
  </si>
  <si>
    <t xml:space="preserve">4) </t>
  </si>
  <si>
    <t>5)</t>
  </si>
  <si>
    <t>6)</t>
  </si>
  <si>
    <t>Valutare quindi la stima dei risultati economici e finanziari</t>
  </si>
  <si>
    <t>% energia</t>
  </si>
  <si>
    <t>valori energia</t>
  </si>
  <si>
    <t>RIPARTIZIONE CONSUMI TOTALI IN FASCE ORARIE</t>
  </si>
  <si>
    <t xml:space="preserve">kW </t>
  </si>
  <si>
    <t>Potenza totale impianto FV della CER:</t>
  </si>
  <si>
    <t>Potenza media impianto FV prosumer:</t>
  </si>
  <si>
    <t>Consumi totali in fascia F1 (% del totale):</t>
  </si>
  <si>
    <t>Consumi totali in fascia F2 (% del totale):</t>
  </si>
  <si>
    <t>Consumi totali in fascia F3 (% del totale):</t>
  </si>
  <si>
    <t>Ora è possibile inserire il numero di consumatori.</t>
  </si>
  <si>
    <t xml:space="preserve">L'ideale è quel numero che rende massima l'energia condivisa </t>
  </si>
  <si>
    <t>e minima l'energia immessa in eccesso (intorno al 5%).</t>
  </si>
  <si>
    <t>N. consumatori della CER:</t>
  </si>
  <si>
    <t>N. prosumer della CER:</t>
  </si>
  <si>
    <t>N. produttori della CER:</t>
  </si>
  <si>
    <t>Costo unitario impianto FV prosumer:</t>
  </si>
  <si>
    <t>Costo unitario impianto FV produttori:</t>
  </si>
  <si>
    <t xml:space="preserve">Aumentare il numero dei consumatori fino ad avere </t>
  </si>
  <si>
    <t>la minima energia immessa in rete in eccesso.</t>
  </si>
  <si>
    <t>%/anno</t>
  </si>
  <si>
    <t>Tot. risparmi da autoconsumo fisico per prosumer:</t>
  </si>
  <si>
    <t>% risparmio su bolletta per consumatore:</t>
  </si>
  <si>
    <t>€/anno/prosumer</t>
  </si>
  <si>
    <t>Produzione annua impianto FV:</t>
  </si>
  <si>
    <t>Totale energia consumata in un anno dalla CER:</t>
  </si>
  <si>
    <t>Energia media consumata da prosumer/consumat.:</t>
  </si>
  <si>
    <t>SCENARIO ENERGETICO ANNUO</t>
  </si>
  <si>
    <t>Consumo annuo diurno prosumer/consumatore della CER:</t>
  </si>
  <si>
    <t>Consumo annuo diurno utenze impianto FV Comune:</t>
  </si>
  <si>
    <t>Costo totale degli impianti FV (escluso Comune):</t>
  </si>
  <si>
    <t>Tot. risparmi da autoconsumo fisico per Comune:</t>
  </si>
  <si>
    <t>Di norma la potenza media è 3 kW per prosumer</t>
  </si>
  <si>
    <t>Inserire l'energia media consumata in un anno</t>
  </si>
  <si>
    <t>dai prosumer/consumatori (2000-3000 kWh)</t>
  </si>
  <si>
    <t xml:space="preserve">Inserire la potenza media dell'impianto FV </t>
  </si>
  <si>
    <t xml:space="preserve">dei produttori (se sono presenti nella CER). </t>
  </si>
  <si>
    <t>ma non la consumano.</t>
  </si>
  <si>
    <t xml:space="preserve">Inseriti questi dati si inserisce il numero dei </t>
  </si>
  <si>
    <t xml:space="preserve">produttori (se esistono) ed il numero dei </t>
  </si>
  <si>
    <t xml:space="preserve"> prosumer (se esitono)</t>
  </si>
  <si>
    <t xml:space="preserve">Con i dati inseriti si ottiene l'energia prodotta </t>
  </si>
  <si>
    <t xml:space="preserve"> in un anno dalla CER.</t>
  </si>
  <si>
    <t>€/anno/produttore</t>
  </si>
  <si>
    <t>Risparmio netto annuo per prosumer:</t>
  </si>
  <si>
    <t>Tasso interno di rendimento (TIR) per prosumer:</t>
  </si>
  <si>
    <t>Valore attuale netto (VAN) 20 anni per prosumer:</t>
  </si>
  <si>
    <t>Totale incentivi per prosumer:</t>
  </si>
  <si>
    <t>Totale incentivi per produttore:</t>
  </si>
  <si>
    <t>Totale incentivi per consumatore:</t>
  </si>
  <si>
    <t>€/anno/consumatore</t>
  </si>
  <si>
    <t>Inserire la potenza media di un impianto FV</t>
  </si>
  <si>
    <t xml:space="preserve">per prosumer (se sono presenti). </t>
  </si>
  <si>
    <t>7)</t>
  </si>
  <si>
    <t>8)</t>
  </si>
  <si>
    <t>in fattura</t>
  </si>
  <si>
    <t>Detrazione fiscale:</t>
  </si>
  <si>
    <t>N. membri della CER (compreso Comune se P&gt;0):</t>
  </si>
  <si>
    <t>Totale incentivi per Comune:</t>
  </si>
  <si>
    <t>€/anno/Comune</t>
  </si>
  <si>
    <t xml:space="preserve">Si ricorda che i produttori producono energia </t>
  </si>
  <si>
    <t>Inserire, se esiste, la potenza totale degli impianti</t>
  </si>
  <si>
    <t>realizzati sui tetti del Comune che partecipa alla CER</t>
  </si>
  <si>
    <t>Tali impianti non incidono sui costi degli altri impianti</t>
  </si>
  <si>
    <t>Potenza totale degli impianti FV del Comune:</t>
  </si>
  <si>
    <t>dalle utenze collegate agli impianti FV del Comune</t>
  </si>
  <si>
    <t>Energia totale consumata utenze imp. FV Comune:</t>
  </si>
  <si>
    <t>Inserire l'energia totale consumata in un anno</t>
  </si>
  <si>
    <t>Potenza totale impianto FV produttori:</t>
  </si>
  <si>
    <t>tCO2/anno</t>
  </si>
  <si>
    <t>Energia prodotta in un anno dalla CER:</t>
  </si>
  <si>
    <t>Energia consumata in un anno dalla CER:</t>
  </si>
  <si>
    <t>Emissioni di CO2 evitate dalla CER:</t>
  </si>
  <si>
    <t>Costo totale energia consumata all'anno:</t>
  </si>
  <si>
    <t>% di autoconsumo fisico (prosumer):</t>
  </si>
  <si>
    <t>% energia condivisa (consumatori):</t>
  </si>
  <si>
    <t>% energia immessa in rete (eccesso):</t>
  </si>
  <si>
    <t>Incentivo MISE (energia condivisa):</t>
  </si>
  <si>
    <t>Restituzione oneri ARERA (energia condivisa):</t>
  </si>
  <si>
    <t>Vendita energia (immessa+condivisa):</t>
  </si>
  <si>
    <t>Costo totale dell'investimento per prosumer:</t>
  </si>
  <si>
    <t>Incentivo MISE:</t>
  </si>
  <si>
    <t>Restituzione oneri ARERA:</t>
  </si>
  <si>
    <t>Vendita energia/Ritiro Dedicato:</t>
  </si>
  <si>
    <t>Detrazione fiscale (importo max 96.000 €):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</si>
</sst>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#,##0.00\ &quot;€&quot;;[Red]\-#,##0.00\ &quot;€&quot;"/>
    <numFmt numFmtId="164" formatCode="#,##0.0"/>
    <numFmt numFmtId="165" formatCode="#,##0.000"/>
    <numFmt numFmtId="166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26">
    <xf numFmtId="0" fontId="0" fillId="0" borderId="0" xfId="0"/>
    <xf numFmtId="4" fontId="0" fillId="0" borderId="0" xfId="0" applyNumberFormat="1"/>
    <xf numFmtId="2" fontId="0" fillId="0" borderId="0" xfId="0" applyNumberFormat="1"/>
    <xf numFmtId="10" fontId="0" fillId="0" borderId="0" xfId="0" applyNumberFormat="1"/>
    <xf numFmtId="0" fontId="0" fillId="0" borderId="0" xfId="0" applyBorder="1"/>
    <xf numFmtId="165" fontId="0" fillId="0" borderId="6" xfId="0" applyNumberFormat="1" applyBorder="1"/>
    <xf numFmtId="9" fontId="0" fillId="0" borderId="6" xfId="0" applyNumberFormat="1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4" xfId="0" applyBorder="1"/>
    <xf numFmtId="10" fontId="0" fillId="0" borderId="6" xfId="0" applyNumberFormat="1" applyBorder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 applyFill="1" applyBorder="1"/>
    <xf numFmtId="0" fontId="0" fillId="0" borderId="0" xfId="0" applyFill="1" applyBorder="1" applyAlignment="1">
      <alignment horizontal="left"/>
    </xf>
    <xf numFmtId="0" fontId="1" fillId="0" borderId="0" xfId="0" applyFont="1"/>
    <xf numFmtId="0" fontId="0" fillId="0" borderId="15" xfId="0" applyBorder="1"/>
    <xf numFmtId="0" fontId="0" fillId="0" borderId="0" xfId="0" applyBorder="1" applyAlignment="1">
      <alignment horizontal="left"/>
    </xf>
    <xf numFmtId="0" fontId="0" fillId="3" borderId="14" xfId="0" applyFont="1" applyFill="1" applyBorder="1" applyAlignment="1"/>
    <xf numFmtId="165" fontId="0" fillId="0" borderId="5" xfId="0" applyNumberFormat="1" applyBorder="1"/>
    <xf numFmtId="9" fontId="0" fillId="0" borderId="5" xfId="0" applyNumberFormat="1" applyBorder="1"/>
    <xf numFmtId="0" fontId="0" fillId="3" borderId="0" xfId="0" applyFill="1" applyBorder="1" applyAlignment="1"/>
    <xf numFmtId="3" fontId="0" fillId="0" borderId="6" xfId="0" applyNumberFormat="1" applyBorder="1" applyProtection="1">
      <protection locked="0"/>
    </xf>
    <xf numFmtId="0" fontId="0" fillId="0" borderId="6" xfId="0" applyBorder="1" applyProtection="1">
      <protection locked="0"/>
    </xf>
    <xf numFmtId="164" fontId="0" fillId="0" borderId="6" xfId="0" applyNumberFormat="1" applyBorder="1" applyProtection="1">
      <protection locked="0"/>
    </xf>
    <xf numFmtId="0" fontId="0" fillId="0" borderId="11" xfId="0" applyFill="1" applyBorder="1"/>
    <xf numFmtId="0" fontId="0" fillId="0" borderId="7" xfId="0" applyBorder="1"/>
    <xf numFmtId="0" fontId="0" fillId="0" borderId="6" xfId="0" applyBorder="1" applyAlignment="1">
      <alignment horizontal="left"/>
    </xf>
    <xf numFmtId="0" fontId="0" fillId="0" borderId="12" xfId="0" applyBorder="1" applyAlignment="1">
      <alignment horizontal="left"/>
    </xf>
    <xf numFmtId="3" fontId="0" fillId="0" borderId="5" xfId="0" applyNumberFormat="1" applyBorder="1" applyProtection="1">
      <protection hidden="1"/>
    </xf>
    <xf numFmtId="3" fontId="0" fillId="0" borderId="6" xfId="0" applyNumberFormat="1" applyBorder="1" applyProtection="1">
      <protection hidden="1"/>
    </xf>
    <xf numFmtId="3" fontId="0" fillId="0" borderId="7" xfId="0" applyNumberFormat="1" applyBorder="1" applyProtection="1">
      <protection hidden="1"/>
    </xf>
    <xf numFmtId="0" fontId="0" fillId="0" borderId="9" xfId="0" applyBorder="1" applyProtection="1">
      <protection hidden="1"/>
    </xf>
    <xf numFmtId="0" fontId="0" fillId="0" borderId="11" xfId="0" applyBorder="1" applyProtection="1">
      <protection hidden="1"/>
    </xf>
    <xf numFmtId="0" fontId="0" fillId="0" borderId="14" xfId="0" applyBorder="1" applyProtection="1"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164" fontId="0" fillId="0" borderId="5" xfId="0" applyNumberFormat="1" applyBorder="1" applyProtection="1">
      <protection hidden="1"/>
    </xf>
    <xf numFmtId="0" fontId="0" fillId="0" borderId="5" xfId="0" applyBorder="1" applyProtection="1">
      <protection hidden="1"/>
    </xf>
    <xf numFmtId="0" fontId="0" fillId="0" borderId="10" xfId="0" applyBorder="1" applyProtection="1">
      <protection hidden="1"/>
    </xf>
    <xf numFmtId="164" fontId="0" fillId="0" borderId="6" xfId="0" applyNumberFormat="1" applyBorder="1" applyProtection="1">
      <protection hidden="1"/>
    </xf>
    <xf numFmtId="0" fontId="0" fillId="0" borderId="6" xfId="0" applyBorder="1" applyProtection="1">
      <protection hidden="1"/>
    </xf>
    <xf numFmtId="0" fontId="0" fillId="0" borderId="12" xfId="0" applyBorder="1" applyProtection="1">
      <protection hidden="1"/>
    </xf>
    <xf numFmtId="0" fontId="2" fillId="0" borderId="11" xfId="0" applyFont="1" applyBorder="1" applyAlignment="1" applyProtection="1">
      <alignment horizontal="left"/>
      <protection hidden="1"/>
    </xf>
    <xf numFmtId="3" fontId="2" fillId="0" borderId="6" xfId="0" applyNumberFormat="1" applyFont="1" applyBorder="1" applyProtection="1">
      <protection hidden="1"/>
    </xf>
    <xf numFmtId="0" fontId="0" fillId="0" borderId="11" xfId="0" applyBorder="1" applyAlignment="1" applyProtection="1">
      <alignment horizontal="left"/>
      <protection hidden="1"/>
    </xf>
    <xf numFmtId="0" fontId="3" fillId="0" borderId="11" xfId="0" applyFont="1" applyBorder="1" applyAlignment="1" applyProtection="1">
      <alignment horizontal="left"/>
      <protection hidden="1"/>
    </xf>
    <xf numFmtId="3" fontId="3" fillId="0" borderId="6" xfId="0" applyNumberFormat="1" applyFont="1" applyBorder="1" applyProtection="1">
      <protection hidden="1"/>
    </xf>
    <xf numFmtId="1" fontId="3" fillId="0" borderId="6" xfId="0" applyNumberFormat="1" applyFont="1" applyBorder="1" applyProtection="1">
      <protection hidden="1"/>
    </xf>
    <xf numFmtId="164" fontId="2" fillId="0" borderId="6" xfId="0" applyNumberFormat="1" applyFont="1" applyBorder="1" applyProtection="1">
      <protection hidden="1"/>
    </xf>
    <xf numFmtId="9" fontId="0" fillId="0" borderId="11" xfId="0" applyNumberFormat="1" applyFont="1" applyBorder="1" applyAlignment="1" applyProtection="1">
      <alignment horizontal="left"/>
      <protection hidden="1"/>
    </xf>
    <xf numFmtId="8" fontId="0" fillId="0" borderId="14" xfId="0" applyNumberFormat="1" applyFont="1" applyBorder="1" applyAlignment="1" applyProtection="1">
      <alignment horizontal="left"/>
      <protection hidden="1"/>
    </xf>
    <xf numFmtId="164" fontId="0" fillId="0" borderId="7" xfId="0" applyNumberFormat="1" applyBorder="1" applyProtection="1">
      <protection hidden="1"/>
    </xf>
    <xf numFmtId="9" fontId="0" fillId="0" borderId="5" xfId="1" applyFont="1" applyBorder="1" applyProtection="1">
      <protection hidden="1"/>
    </xf>
    <xf numFmtId="9" fontId="0" fillId="0" borderId="6" xfId="1" applyFont="1" applyBorder="1" applyProtection="1">
      <protection hidden="1"/>
    </xf>
    <xf numFmtId="0" fontId="0" fillId="0" borderId="11" xfId="0" applyFont="1" applyBorder="1" applyAlignment="1" applyProtection="1">
      <protection hidden="1"/>
    </xf>
    <xf numFmtId="0" fontId="0" fillId="0" borderId="6" xfId="0" applyFont="1" applyBorder="1" applyAlignment="1" applyProtection="1">
      <protection hidden="1"/>
    </xf>
    <xf numFmtId="3" fontId="0" fillId="0" borderId="6" xfId="0" applyNumberFormat="1" applyFont="1" applyBorder="1" applyProtection="1">
      <protection hidden="1"/>
    </xf>
    <xf numFmtId="0" fontId="0" fillId="0" borderId="12" xfId="0" applyFont="1" applyBorder="1" applyProtection="1">
      <protection hidden="1"/>
    </xf>
    <xf numFmtId="0" fontId="0" fillId="0" borderId="14" xfId="0" applyFont="1" applyBorder="1" applyAlignment="1" applyProtection="1">
      <protection hidden="1"/>
    </xf>
    <xf numFmtId="0" fontId="0" fillId="0" borderId="7" xfId="0" applyFont="1" applyBorder="1" applyAlignment="1" applyProtection="1">
      <protection hidden="1"/>
    </xf>
    <xf numFmtId="3" fontId="0" fillId="0" borderId="7" xfId="0" applyNumberFormat="1" applyFont="1" applyBorder="1" applyProtection="1">
      <protection hidden="1"/>
    </xf>
    <xf numFmtId="0" fontId="0" fillId="0" borderId="13" xfId="0" applyFont="1" applyBorder="1" applyProtection="1">
      <protection hidden="1"/>
    </xf>
    <xf numFmtId="166" fontId="0" fillId="0" borderId="5" xfId="0" applyNumberFormat="1" applyFill="1" applyBorder="1" applyProtection="1">
      <protection locked="0"/>
    </xf>
    <xf numFmtId="3" fontId="0" fillId="0" borderId="6" xfId="0" applyNumberFormat="1" applyFill="1" applyBorder="1" applyProtection="1">
      <protection locked="0"/>
    </xf>
    <xf numFmtId="165" fontId="0" fillId="0" borderId="6" xfId="0" applyNumberFormat="1" applyBorder="1" applyProtection="1">
      <protection locked="0"/>
    </xf>
    <xf numFmtId="0" fontId="0" fillId="3" borderId="7" xfId="0" applyFont="1" applyFill="1" applyBorder="1" applyAlignment="1" applyProtection="1">
      <protection locked="0"/>
    </xf>
    <xf numFmtId="0" fontId="0" fillId="0" borderId="21" xfId="0" applyFill="1" applyBorder="1" applyProtection="1">
      <protection hidden="1"/>
    </xf>
    <xf numFmtId="0" fontId="1" fillId="0" borderId="11" xfId="0" applyFont="1" applyBorder="1" applyAlignment="1" applyProtection="1">
      <alignment horizontal="right"/>
      <protection hidden="1"/>
    </xf>
    <xf numFmtId="3" fontId="1" fillId="0" borderId="6" xfId="0" applyNumberFormat="1" applyFont="1" applyBorder="1" applyProtection="1">
      <protection hidden="1"/>
    </xf>
    <xf numFmtId="0" fontId="1" fillId="0" borderId="6" xfId="0" applyFont="1" applyBorder="1" applyProtection="1">
      <protection hidden="1"/>
    </xf>
    <xf numFmtId="0" fontId="1" fillId="0" borderId="12" xfId="0" applyFont="1" applyBorder="1" applyProtection="1">
      <protection hidden="1"/>
    </xf>
    <xf numFmtId="0" fontId="0" fillId="0" borderId="6" xfId="0" applyBorder="1"/>
    <xf numFmtId="0" fontId="0" fillId="0" borderId="22" xfId="0" applyBorder="1"/>
    <xf numFmtId="0" fontId="0" fillId="0" borderId="0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13" xfId="0" applyBorder="1" applyProtection="1">
      <protection hidden="1"/>
    </xf>
    <xf numFmtId="0" fontId="1" fillId="2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2" xfId="0" applyBorder="1" applyAlignment="1">
      <alignment horizontal="left"/>
    </xf>
    <xf numFmtId="0" fontId="1" fillId="2" borderId="4" xfId="0" applyFont="1" applyFill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 applyProtection="1">
      <alignment horizontal="left"/>
      <protection hidden="1"/>
    </xf>
    <xf numFmtId="0" fontId="0" fillId="0" borderId="10" xfId="0" applyBorder="1" applyAlignment="1" applyProtection="1">
      <alignment horizontal="left"/>
      <protection hidden="1"/>
    </xf>
    <xf numFmtId="0" fontId="0" fillId="0" borderId="6" xfId="0" applyBorder="1" applyAlignment="1" applyProtection="1">
      <alignment horizontal="left"/>
      <protection hidden="1"/>
    </xf>
    <xf numFmtId="0" fontId="0" fillId="0" borderId="12" xfId="0" applyBorder="1" applyAlignment="1" applyProtection="1">
      <alignment horizontal="left"/>
      <protection hidden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1" fillId="2" borderId="2" xfId="0" applyFont="1" applyFill="1" applyBorder="1" applyAlignment="1" applyProtection="1">
      <alignment horizontal="center" vertical="center"/>
      <protection hidden="1"/>
    </xf>
    <xf numFmtId="0" fontId="0" fillId="3" borderId="7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0" fillId="0" borderId="6" xfId="0" applyBorder="1" applyAlignment="1" applyProtection="1">
      <protection hidden="1"/>
    </xf>
    <xf numFmtId="0" fontId="0" fillId="0" borderId="12" xfId="0" applyBorder="1" applyAlignment="1" applyProtection="1">
      <protection hidden="1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5" xfId="0" applyBorder="1" applyAlignment="1" applyProtection="1">
      <protection hidden="1"/>
    </xf>
    <xf numFmtId="0" fontId="0" fillId="0" borderId="10" xfId="0" applyBorder="1" applyAlignment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left"/>
      <protection hidden="1"/>
    </xf>
    <xf numFmtId="0" fontId="0" fillId="0" borderId="19" xfId="0" applyBorder="1" applyAlignment="1" applyProtection="1">
      <alignment horizontal="left"/>
      <protection hidden="1"/>
    </xf>
    <xf numFmtId="0" fontId="0" fillId="0" borderId="17" xfId="0" applyBorder="1" applyAlignment="1" applyProtection="1">
      <alignment horizontal="left"/>
      <protection hidden="1"/>
    </xf>
    <xf numFmtId="0" fontId="0" fillId="0" borderId="18" xfId="0" applyBorder="1" applyAlignment="1" applyProtection="1">
      <alignment horizontal="left"/>
      <protection hidden="1"/>
    </xf>
    <xf numFmtId="0" fontId="0" fillId="0" borderId="20" xfId="0" applyBorder="1" applyAlignment="1" applyProtection="1">
      <alignment horizontal="left"/>
      <protection hidden="1"/>
    </xf>
    <xf numFmtId="0" fontId="2" fillId="0" borderId="6" xfId="0" applyFont="1" applyBorder="1" applyAlignment="1" applyProtection="1">
      <protection hidden="1"/>
    </xf>
    <xf numFmtId="0" fontId="2" fillId="0" borderId="12" xfId="0" applyFont="1" applyBorder="1" applyAlignment="1" applyProtection="1">
      <protection hidden="1"/>
    </xf>
    <xf numFmtId="0" fontId="3" fillId="0" borderId="6" xfId="0" applyFont="1" applyBorder="1" applyAlignment="1" applyProtection="1">
      <protection hidden="1"/>
    </xf>
    <xf numFmtId="0" fontId="3" fillId="0" borderId="12" xfId="0" applyFont="1" applyBorder="1" applyAlignment="1" applyProtection="1">
      <protection hidden="1"/>
    </xf>
    <xf numFmtId="0" fontId="0" fillId="0" borderId="7" xfId="0" applyBorder="1" applyAlignment="1" applyProtection="1">
      <protection hidden="1"/>
    </xf>
    <xf numFmtId="0" fontId="0" fillId="0" borderId="13" xfId="0" applyBorder="1" applyAlignment="1" applyProtection="1">
      <protection hidden="1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Normale" xfId="0" builtinId="0"/>
    <cellStyle name="Percentuale" xfId="1" builtinId="5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25404</xdr:colOff>
      <xdr:row>34</xdr:row>
      <xdr:rowOff>46562</xdr:rowOff>
    </xdr:from>
    <xdr:to>
      <xdr:col>4</xdr:col>
      <xdr:colOff>8163</xdr:colOff>
      <xdr:row>48</xdr:row>
      <xdr:rowOff>156629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4" y="6379629"/>
          <a:ext cx="4630959" cy="27178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"/>
  <sheetViews>
    <sheetView tabSelected="1" topLeftCell="A4" zoomScale="90" zoomScaleNormal="90" workbookViewId="0">
      <selection activeCell="G2" sqref="G2"/>
    </sheetView>
  </sheetViews>
  <sheetFormatPr defaultRowHeight="14.5" x14ac:dyDescent="0.35"/>
  <cols>
    <col min="1" max="1" width="44.54296875" customWidth="1"/>
    <col min="2" max="2" width="8.1796875" customWidth="1"/>
    <col min="3" max="3" width="9.90625" customWidth="1"/>
    <col min="4" max="4" width="5" customWidth="1"/>
    <col min="5" max="5" width="1.1796875" customWidth="1"/>
    <col min="6" max="6" width="43.6328125" customWidth="1"/>
    <col min="7" max="7" width="9.08984375" customWidth="1"/>
    <col min="8" max="8" width="4.1796875" customWidth="1"/>
    <col min="9" max="9" width="10.1796875" customWidth="1"/>
    <col min="10" max="10" width="4.90625" customWidth="1"/>
    <col min="11" max="11" width="1.36328125" customWidth="1"/>
    <col min="12" max="12" width="2.6328125" customWidth="1"/>
    <col min="13" max="13" width="9.453125" customWidth="1"/>
    <col min="14" max="14" width="26.453125" customWidth="1"/>
    <col min="15" max="15" width="6.08984375" customWidth="1"/>
    <col min="16" max="16" width="2.36328125" customWidth="1"/>
    <col min="17" max="17" width="16.6328125" customWidth="1"/>
    <col min="28" max="28" width="4.36328125" customWidth="1"/>
    <col min="29" max="29" width="14.81640625" customWidth="1"/>
  </cols>
  <sheetData>
    <row r="1" spans="1:29" ht="14.5" customHeight="1" x14ac:dyDescent="0.35">
      <c r="A1" s="88" t="s">
        <v>22</v>
      </c>
      <c r="B1" s="89"/>
      <c r="C1" s="89"/>
      <c r="D1" s="90"/>
      <c r="E1" s="7"/>
      <c r="F1" s="82" t="s">
        <v>16</v>
      </c>
      <c r="G1" s="82"/>
      <c r="H1" s="82"/>
      <c r="I1" s="82"/>
      <c r="J1" s="82"/>
      <c r="K1" s="15"/>
      <c r="L1" s="83" t="s">
        <v>26</v>
      </c>
      <c r="M1" s="84"/>
      <c r="N1" s="84"/>
      <c r="O1" s="84"/>
      <c r="P1" s="84"/>
      <c r="Q1" s="27"/>
      <c r="AC1" t="s">
        <v>20</v>
      </c>
    </row>
    <row r="2" spans="1:29" x14ac:dyDescent="0.35">
      <c r="A2" s="8" t="s">
        <v>97</v>
      </c>
      <c r="B2" s="68">
        <v>0</v>
      </c>
      <c r="C2" s="91" t="s">
        <v>0</v>
      </c>
      <c r="D2" s="92"/>
      <c r="E2" s="4"/>
      <c r="F2" s="38" t="s">
        <v>90</v>
      </c>
      <c r="G2" s="35">
        <f>SUM(B7:B9)+IF(B2&lt;&gt;0,1,0)</f>
        <v>0</v>
      </c>
      <c r="H2" s="93"/>
      <c r="I2" s="93"/>
      <c r="J2" s="94"/>
      <c r="L2" s="21" t="s">
        <v>27</v>
      </c>
      <c r="M2" t="s">
        <v>94</v>
      </c>
      <c r="AC2" s="2">
        <f>-G29</f>
        <v>0</v>
      </c>
    </row>
    <row r="3" spans="1:29" x14ac:dyDescent="0.35">
      <c r="A3" s="31" t="s">
        <v>99</v>
      </c>
      <c r="B3" s="69">
        <v>0</v>
      </c>
      <c r="C3" s="85" t="s">
        <v>14</v>
      </c>
      <c r="D3" s="86"/>
      <c r="E3" s="4"/>
      <c r="F3" s="39" t="s">
        <v>38</v>
      </c>
      <c r="G3" s="36">
        <f>B4*B8+B2*1+B6*B9</f>
        <v>0</v>
      </c>
      <c r="H3" s="95" t="s">
        <v>37</v>
      </c>
      <c r="I3" s="95"/>
      <c r="J3" s="96"/>
      <c r="M3" t="s">
        <v>95</v>
      </c>
      <c r="AC3" s="1">
        <f t="shared" ref="AC3:AC22" si="0">$G$31</f>
        <v>0</v>
      </c>
    </row>
    <row r="4" spans="1:29" x14ac:dyDescent="0.35">
      <c r="A4" s="9" t="s">
        <v>39</v>
      </c>
      <c r="B4" s="30">
        <v>3</v>
      </c>
      <c r="C4" s="85" t="s">
        <v>0</v>
      </c>
      <c r="D4" s="86"/>
      <c r="E4" s="4"/>
      <c r="F4" s="39" t="s">
        <v>103</v>
      </c>
      <c r="G4" s="36">
        <f>(G3)*B10</f>
        <v>0</v>
      </c>
      <c r="H4" s="95" t="s">
        <v>14</v>
      </c>
      <c r="I4" s="95"/>
      <c r="J4" s="96"/>
      <c r="M4" t="s">
        <v>96</v>
      </c>
      <c r="AC4" s="1">
        <f t="shared" si="0"/>
        <v>0</v>
      </c>
    </row>
    <row r="5" spans="1:29" x14ac:dyDescent="0.35">
      <c r="A5" s="9" t="s">
        <v>59</v>
      </c>
      <c r="B5" s="28">
        <v>2700</v>
      </c>
      <c r="C5" s="85" t="s">
        <v>14</v>
      </c>
      <c r="D5" s="86"/>
      <c r="E5" s="4"/>
      <c r="F5" s="39" t="s">
        <v>104</v>
      </c>
      <c r="G5" s="36">
        <f>(B7+B8)*B5+IF(B2&lt;&gt;0,B3,0)</f>
        <v>0</v>
      </c>
      <c r="H5" s="95" t="s">
        <v>14</v>
      </c>
      <c r="I5" s="95"/>
      <c r="J5" s="96"/>
      <c r="L5" s="21" t="s">
        <v>28</v>
      </c>
      <c r="M5" t="s">
        <v>100</v>
      </c>
      <c r="AC5" s="1">
        <f t="shared" si="0"/>
        <v>0</v>
      </c>
    </row>
    <row r="6" spans="1:29" x14ac:dyDescent="0.35">
      <c r="A6" s="31" t="s">
        <v>101</v>
      </c>
      <c r="B6" s="30">
        <v>0</v>
      </c>
      <c r="C6" s="85" t="s">
        <v>0</v>
      </c>
      <c r="D6" s="86"/>
      <c r="E6" s="4"/>
      <c r="F6" s="72" t="s">
        <v>105</v>
      </c>
      <c r="G6" s="79">
        <f>G4/1000*0.286</f>
        <v>0</v>
      </c>
      <c r="H6" s="111" t="s">
        <v>102</v>
      </c>
      <c r="I6" s="111"/>
      <c r="J6" s="112"/>
      <c r="K6" s="16"/>
      <c r="M6" t="s">
        <v>98</v>
      </c>
      <c r="O6" s="3"/>
      <c r="AC6" s="1">
        <f t="shared" si="0"/>
        <v>0</v>
      </c>
    </row>
    <row r="7" spans="1:29" x14ac:dyDescent="0.35">
      <c r="A7" s="9" t="s">
        <v>46</v>
      </c>
      <c r="B7" s="29">
        <v>0</v>
      </c>
      <c r="C7" s="85"/>
      <c r="D7" s="86"/>
      <c r="E7" s="4"/>
      <c r="F7" s="39" t="s">
        <v>106</v>
      </c>
      <c r="G7" s="36">
        <f>G5*B11</f>
        <v>0</v>
      </c>
      <c r="H7" s="95" t="s">
        <v>18</v>
      </c>
      <c r="I7" s="95"/>
      <c r="J7" s="96"/>
      <c r="K7" s="17"/>
      <c r="L7" s="21" t="s">
        <v>29</v>
      </c>
      <c r="M7" t="s">
        <v>84</v>
      </c>
      <c r="AC7" s="1">
        <f t="shared" si="0"/>
        <v>0</v>
      </c>
    </row>
    <row r="8" spans="1:29" x14ac:dyDescent="0.35">
      <c r="A8" s="9" t="s">
        <v>47</v>
      </c>
      <c r="B8" s="29">
        <v>0</v>
      </c>
      <c r="C8" s="85" t="s">
        <v>11</v>
      </c>
      <c r="D8" s="86"/>
      <c r="E8" s="4"/>
      <c r="F8" s="40" t="s">
        <v>63</v>
      </c>
      <c r="G8" s="37">
        <f>B12*B4*B8+B13*B6*B9</f>
        <v>0</v>
      </c>
      <c r="H8" s="113" t="s">
        <v>2</v>
      </c>
      <c r="I8" s="114"/>
      <c r="J8" s="115"/>
      <c r="K8" s="18"/>
      <c r="M8" t="s">
        <v>85</v>
      </c>
      <c r="AC8" s="1">
        <f t="shared" si="0"/>
        <v>0</v>
      </c>
    </row>
    <row r="9" spans="1:29" x14ac:dyDescent="0.35">
      <c r="A9" s="9" t="s">
        <v>48</v>
      </c>
      <c r="B9" s="29">
        <v>0</v>
      </c>
      <c r="C9" s="85"/>
      <c r="D9" s="86"/>
      <c r="E9" s="4"/>
      <c r="F9" s="41" t="s">
        <v>60</v>
      </c>
      <c r="G9" s="97" t="s">
        <v>34</v>
      </c>
      <c r="H9" s="98"/>
      <c r="I9" s="87" t="s">
        <v>35</v>
      </c>
      <c r="J9" s="87"/>
      <c r="K9" s="18"/>
      <c r="M9" t="s">
        <v>65</v>
      </c>
      <c r="AC9" s="1">
        <f t="shared" si="0"/>
        <v>0</v>
      </c>
    </row>
    <row r="10" spans="1:29" x14ac:dyDescent="0.35">
      <c r="A10" s="9" t="s">
        <v>57</v>
      </c>
      <c r="B10" s="28">
        <v>1100</v>
      </c>
      <c r="C10" s="33" t="s">
        <v>1</v>
      </c>
      <c r="D10" s="34"/>
      <c r="E10" s="4"/>
      <c r="F10" s="38" t="s">
        <v>107</v>
      </c>
      <c r="G10" s="42">
        <f>IFERROR(I10/G4*100,0)</f>
        <v>0</v>
      </c>
      <c r="H10" s="43" t="s">
        <v>6</v>
      </c>
      <c r="I10" s="35">
        <f>B8*C33+1*C34</f>
        <v>0</v>
      </c>
      <c r="J10" s="44" t="s">
        <v>8</v>
      </c>
      <c r="K10" s="18"/>
      <c r="L10" s="21" t="s">
        <v>30</v>
      </c>
      <c r="M10" t="s">
        <v>66</v>
      </c>
      <c r="AC10" s="1">
        <f t="shared" si="0"/>
        <v>0</v>
      </c>
    </row>
    <row r="11" spans="1:29" x14ac:dyDescent="0.35">
      <c r="A11" s="9" t="s">
        <v>4</v>
      </c>
      <c r="B11" s="70">
        <v>0.3</v>
      </c>
      <c r="C11" s="85" t="s">
        <v>9</v>
      </c>
      <c r="D11" s="86"/>
      <c r="E11" s="4"/>
      <c r="F11" s="39" t="s">
        <v>108</v>
      </c>
      <c r="G11" s="45">
        <f>IFERROR(I11/G4*100,0)</f>
        <v>0</v>
      </c>
      <c r="H11" s="46" t="s">
        <v>6</v>
      </c>
      <c r="I11" s="36">
        <f>(B7)*C33</f>
        <v>0</v>
      </c>
      <c r="J11" s="47" t="s">
        <v>8</v>
      </c>
      <c r="K11" s="19"/>
      <c r="M11" t="s">
        <v>67</v>
      </c>
      <c r="AC11" s="1">
        <f t="shared" si="0"/>
        <v>0</v>
      </c>
    </row>
    <row r="12" spans="1:29" ht="14.4" customHeight="1" x14ac:dyDescent="0.35">
      <c r="A12" s="9" t="s">
        <v>49</v>
      </c>
      <c r="B12" s="28">
        <v>2000</v>
      </c>
      <c r="C12" s="85" t="s">
        <v>3</v>
      </c>
      <c r="D12" s="86"/>
      <c r="E12" s="4"/>
      <c r="F12" s="39" t="s">
        <v>109</v>
      </c>
      <c r="G12" s="45">
        <f>IFERROR(I12/G4*100,0)</f>
        <v>0</v>
      </c>
      <c r="H12" s="46" t="s">
        <v>6</v>
      </c>
      <c r="I12" s="36">
        <f>G4-I10-I11</f>
        <v>0</v>
      </c>
      <c r="J12" s="47" t="s">
        <v>8</v>
      </c>
      <c r="K12" s="17"/>
      <c r="L12" s="21" t="s">
        <v>31</v>
      </c>
      <c r="M12" t="s">
        <v>68</v>
      </c>
      <c r="AC12" s="1">
        <f t="shared" si="0"/>
        <v>0</v>
      </c>
    </row>
    <row r="13" spans="1:29" x14ac:dyDescent="0.35">
      <c r="A13" s="9" t="s">
        <v>50</v>
      </c>
      <c r="B13" s="28">
        <v>1200</v>
      </c>
      <c r="C13" s="85" t="s">
        <v>3</v>
      </c>
      <c r="D13" s="86"/>
      <c r="E13" s="4"/>
      <c r="F13" s="73" t="s">
        <v>5</v>
      </c>
      <c r="G13" s="74">
        <f>SUM(G10:G12)</f>
        <v>0</v>
      </c>
      <c r="H13" s="75" t="s">
        <v>6</v>
      </c>
      <c r="I13" s="74">
        <f>SUM(I10:I12)</f>
        <v>0</v>
      </c>
      <c r="J13" s="76" t="s">
        <v>8</v>
      </c>
      <c r="K13" s="18"/>
      <c r="L13" s="21"/>
      <c r="M13" t="s">
        <v>69</v>
      </c>
      <c r="AC13" s="1">
        <f t="shared" si="0"/>
        <v>0</v>
      </c>
    </row>
    <row r="14" spans="1:29" x14ac:dyDescent="0.35">
      <c r="A14" s="24" t="s">
        <v>25</v>
      </c>
      <c r="B14" s="71">
        <v>500</v>
      </c>
      <c r="C14" s="99" t="s">
        <v>18</v>
      </c>
      <c r="D14" s="100"/>
      <c r="E14" s="4"/>
      <c r="F14" s="40"/>
      <c r="G14" s="80"/>
      <c r="H14" s="80"/>
      <c r="I14" s="80"/>
      <c r="J14" s="81"/>
      <c r="K14" s="18"/>
      <c r="L14" s="21"/>
      <c r="M14" t="s">
        <v>93</v>
      </c>
      <c r="AC14" s="1">
        <f t="shared" si="0"/>
        <v>0</v>
      </c>
    </row>
    <row r="15" spans="1:29" x14ac:dyDescent="0.35">
      <c r="A15" s="103" t="s">
        <v>24</v>
      </c>
      <c r="B15" s="104"/>
      <c r="C15" s="104"/>
      <c r="D15" s="105"/>
      <c r="E15" s="4"/>
      <c r="F15" s="108" t="s">
        <v>23</v>
      </c>
      <c r="G15" s="109"/>
      <c r="H15" s="109"/>
      <c r="I15" s="109"/>
      <c r="J15" s="110"/>
      <c r="K15" s="18"/>
      <c r="M15" t="s">
        <v>70</v>
      </c>
      <c r="AC15" s="1">
        <f t="shared" si="0"/>
        <v>0</v>
      </c>
    </row>
    <row r="16" spans="1:29" x14ac:dyDescent="0.35">
      <c r="A16" s="8" t="s">
        <v>114</v>
      </c>
      <c r="B16" s="25">
        <v>0.11</v>
      </c>
      <c r="C16" s="91" t="s">
        <v>9</v>
      </c>
      <c r="D16" s="92"/>
      <c r="E16" s="4"/>
      <c r="F16" s="38" t="s">
        <v>110</v>
      </c>
      <c r="G16" s="35">
        <f>B16*I11</f>
        <v>0</v>
      </c>
      <c r="H16" s="106" t="s">
        <v>18</v>
      </c>
      <c r="I16" s="106"/>
      <c r="J16" s="107"/>
      <c r="K16" s="15"/>
      <c r="L16" s="21" t="s">
        <v>32</v>
      </c>
      <c r="M16" t="s">
        <v>71</v>
      </c>
      <c r="AC16" s="1">
        <f t="shared" si="0"/>
        <v>0</v>
      </c>
    </row>
    <row r="17" spans="1:29" x14ac:dyDescent="0.35">
      <c r="A17" s="9" t="s">
        <v>115</v>
      </c>
      <c r="B17" s="5">
        <v>8.9999999999999993E-3</v>
      </c>
      <c r="C17" s="85" t="s">
        <v>9</v>
      </c>
      <c r="D17" s="86"/>
      <c r="E17" s="4"/>
      <c r="F17" s="39" t="s">
        <v>111</v>
      </c>
      <c r="G17" s="36">
        <f>B17*I11</f>
        <v>0</v>
      </c>
      <c r="H17" s="101" t="s">
        <v>18</v>
      </c>
      <c r="I17" s="101"/>
      <c r="J17" s="102"/>
      <c r="K17" s="20"/>
      <c r="M17" t="s">
        <v>72</v>
      </c>
      <c r="AC17" s="1">
        <f t="shared" si="0"/>
        <v>0</v>
      </c>
    </row>
    <row r="18" spans="1:29" x14ac:dyDescent="0.35">
      <c r="A18" s="9" t="s">
        <v>116</v>
      </c>
      <c r="B18" s="5">
        <v>0.05</v>
      </c>
      <c r="C18" s="85" t="s">
        <v>9</v>
      </c>
      <c r="D18" s="86"/>
      <c r="E18" s="4"/>
      <c r="F18" s="39" t="s">
        <v>112</v>
      </c>
      <c r="G18" s="36">
        <f>B18*(I11+I12)</f>
        <v>0</v>
      </c>
      <c r="H18" s="101" t="s">
        <v>18</v>
      </c>
      <c r="I18" s="101"/>
      <c r="J18" s="102"/>
      <c r="K18" s="12"/>
      <c r="M18" t="s">
        <v>73</v>
      </c>
      <c r="AC18" s="1">
        <f t="shared" si="0"/>
        <v>0</v>
      </c>
    </row>
    <row r="19" spans="1:29" x14ac:dyDescent="0.35">
      <c r="A19" s="9" t="s">
        <v>117</v>
      </c>
      <c r="B19" s="6">
        <v>0.5</v>
      </c>
      <c r="C19" s="85" t="s">
        <v>88</v>
      </c>
      <c r="D19" s="86"/>
      <c r="E19" s="4"/>
      <c r="F19" s="48" t="s">
        <v>21</v>
      </c>
      <c r="G19" s="49">
        <f>SUM(G16:G18)</f>
        <v>0</v>
      </c>
      <c r="H19" s="116" t="s">
        <v>18</v>
      </c>
      <c r="I19" s="116"/>
      <c r="J19" s="117"/>
      <c r="K19" s="12"/>
      <c r="M19" t="s">
        <v>74</v>
      </c>
      <c r="AC19" s="1">
        <f t="shared" si="0"/>
        <v>0</v>
      </c>
    </row>
    <row r="20" spans="1:29" x14ac:dyDescent="0.35">
      <c r="A20" s="10"/>
      <c r="B20" s="32"/>
      <c r="C20" s="122"/>
      <c r="D20" s="123"/>
      <c r="E20" s="4"/>
      <c r="F20" s="48" t="s">
        <v>17</v>
      </c>
      <c r="G20" s="49">
        <f>I10*B11</f>
        <v>0</v>
      </c>
      <c r="H20" s="116" t="s">
        <v>18</v>
      </c>
      <c r="I20" s="116"/>
      <c r="J20" s="117"/>
      <c r="K20" s="13"/>
      <c r="M20" t="s">
        <v>75</v>
      </c>
      <c r="AC20" s="1">
        <f t="shared" si="0"/>
        <v>0</v>
      </c>
    </row>
    <row r="21" spans="1:29" x14ac:dyDescent="0.35">
      <c r="A21" s="103" t="s">
        <v>15</v>
      </c>
      <c r="B21" s="104"/>
      <c r="C21" s="104"/>
      <c r="D21" s="105"/>
      <c r="E21" s="4"/>
      <c r="F21" s="48" t="s">
        <v>10</v>
      </c>
      <c r="G21" s="49">
        <f>G19+G20</f>
        <v>0</v>
      </c>
      <c r="H21" s="116" t="s">
        <v>18</v>
      </c>
      <c r="I21" s="116"/>
      <c r="J21" s="117"/>
      <c r="K21" s="13"/>
      <c r="L21" s="21" t="s">
        <v>86</v>
      </c>
      <c r="M21" t="s">
        <v>43</v>
      </c>
      <c r="AC21" s="1">
        <f t="shared" si="0"/>
        <v>0</v>
      </c>
    </row>
    <row r="22" spans="1:29" x14ac:dyDescent="0.35">
      <c r="A22" s="8" t="s">
        <v>114</v>
      </c>
      <c r="B22" s="26">
        <v>0.5</v>
      </c>
      <c r="C22" s="91" t="s">
        <v>12</v>
      </c>
      <c r="D22" s="92"/>
      <c r="E22" s="4"/>
      <c r="F22" s="50" t="s">
        <v>54</v>
      </c>
      <c r="G22" s="36">
        <f>IFERROR(C33*B11,0)</f>
        <v>0</v>
      </c>
      <c r="H22" s="101" t="s">
        <v>56</v>
      </c>
      <c r="I22" s="101"/>
      <c r="J22" s="102"/>
      <c r="K22" s="12"/>
      <c r="M22" t="s">
        <v>44</v>
      </c>
      <c r="AC22" s="1">
        <f t="shared" si="0"/>
        <v>0</v>
      </c>
    </row>
    <row r="23" spans="1:29" x14ac:dyDescent="0.35">
      <c r="A23" s="9" t="s">
        <v>114</v>
      </c>
      <c r="B23" s="6">
        <v>0.5</v>
      </c>
      <c r="C23" s="33" t="s">
        <v>13</v>
      </c>
      <c r="D23" s="34"/>
      <c r="E23" s="4"/>
      <c r="F23" s="50" t="s">
        <v>64</v>
      </c>
      <c r="G23" s="36">
        <f>IFERROR(C34*B11,0)</f>
        <v>0</v>
      </c>
      <c r="H23" s="101" t="s">
        <v>18</v>
      </c>
      <c r="I23" s="101"/>
      <c r="J23" s="102"/>
      <c r="K23" s="13"/>
      <c r="L23" t="s">
        <v>11</v>
      </c>
      <c r="M23" t="s">
        <v>45</v>
      </c>
    </row>
    <row r="24" spans="1:29" x14ac:dyDescent="0.35">
      <c r="A24" s="9" t="s">
        <v>115</v>
      </c>
      <c r="B24" s="6">
        <v>1</v>
      </c>
      <c r="C24" s="33" t="s">
        <v>13</v>
      </c>
      <c r="D24" s="34"/>
      <c r="E24" s="4"/>
      <c r="F24" s="51" t="s">
        <v>80</v>
      </c>
      <c r="G24" s="52">
        <f>IFERROR((G16*B22/G3*(B8*B4))/B8+G18*B25/G3*(B8*B4)/B8,0)</f>
        <v>0</v>
      </c>
      <c r="H24" s="118" t="s">
        <v>56</v>
      </c>
      <c r="I24" s="118"/>
      <c r="J24" s="119"/>
      <c r="K24" s="14"/>
      <c r="M24" t="s">
        <v>51</v>
      </c>
    </row>
    <row r="25" spans="1:29" x14ac:dyDescent="0.35">
      <c r="A25" s="9" t="s">
        <v>116</v>
      </c>
      <c r="B25" s="6">
        <v>1</v>
      </c>
      <c r="C25" s="33" t="s">
        <v>12</v>
      </c>
      <c r="D25" s="34"/>
      <c r="E25" s="4"/>
      <c r="F25" s="51" t="s">
        <v>91</v>
      </c>
      <c r="G25" s="36">
        <f>IFERROR(G16*B22/G3*(B2)/1+G18*B25/G3*(B2)/1,0)</f>
        <v>0</v>
      </c>
      <c r="H25" s="118" t="s">
        <v>92</v>
      </c>
      <c r="I25" s="118"/>
      <c r="J25" s="119"/>
      <c r="K25" s="14"/>
      <c r="M25" t="s">
        <v>52</v>
      </c>
    </row>
    <row r="26" spans="1:29" x14ac:dyDescent="0.35">
      <c r="A26" s="9"/>
      <c r="B26" s="77"/>
      <c r="C26" s="124"/>
      <c r="D26" s="125"/>
      <c r="E26" s="4"/>
      <c r="F26" s="51" t="s">
        <v>81</v>
      </c>
      <c r="G26" s="36">
        <f>IFERROR(((G18/G3*(B9*B6)/B9))+(G16*B22/G3*(B9*B6)/B9),0)</f>
        <v>0</v>
      </c>
      <c r="H26" s="118" t="s">
        <v>76</v>
      </c>
      <c r="I26" s="118"/>
      <c r="J26" s="119"/>
      <c r="K26" s="14"/>
      <c r="L26" s="21" t="s">
        <v>87</v>
      </c>
      <c r="M26" t="s">
        <v>33</v>
      </c>
      <c r="AC26" s="11">
        <f>IFERROR(IRR(AC2:AC22),0)</f>
        <v>0</v>
      </c>
    </row>
    <row r="27" spans="1:29" x14ac:dyDescent="0.35">
      <c r="A27" s="10"/>
      <c r="B27" s="32"/>
      <c r="C27" s="122"/>
      <c r="D27" s="123"/>
      <c r="E27" s="4"/>
      <c r="F27" s="51" t="s">
        <v>82</v>
      </c>
      <c r="G27" s="52">
        <f>IFERROR((G16*B23)/B7+G17*B24/B7,0)</f>
        <v>0</v>
      </c>
      <c r="H27" s="118" t="s">
        <v>83</v>
      </c>
      <c r="I27" s="118"/>
      <c r="J27" s="119"/>
      <c r="K27" s="14"/>
      <c r="M27" t="s">
        <v>11</v>
      </c>
    </row>
    <row r="28" spans="1:29" x14ac:dyDescent="0.35">
      <c r="A28" s="103" t="s">
        <v>36</v>
      </c>
      <c r="B28" s="104"/>
      <c r="C28" s="104"/>
      <c r="D28" s="105"/>
      <c r="E28" s="4"/>
      <c r="F28" s="51" t="s">
        <v>55</v>
      </c>
      <c r="G28" s="53">
        <f>IFERROR(G27/(B5*B11)*100,0)</f>
        <v>0</v>
      </c>
      <c r="H28" s="118" t="s">
        <v>53</v>
      </c>
      <c r="I28" s="118"/>
      <c r="J28" s="119"/>
      <c r="K28" s="12"/>
    </row>
    <row r="29" spans="1:29" x14ac:dyDescent="0.35">
      <c r="A29" s="38" t="s">
        <v>40</v>
      </c>
      <c r="B29" s="58">
        <v>0.33</v>
      </c>
      <c r="C29" s="35">
        <f>B29*G5</f>
        <v>0</v>
      </c>
      <c r="D29" s="44" t="s">
        <v>8</v>
      </c>
      <c r="E29" s="78"/>
      <c r="F29" s="51" t="s">
        <v>113</v>
      </c>
      <c r="G29" s="36">
        <f>IF(B8=0,0,B4*B12)</f>
        <v>0</v>
      </c>
      <c r="H29" s="118" t="s">
        <v>2</v>
      </c>
      <c r="I29" s="118"/>
      <c r="J29" s="119"/>
      <c r="K29" s="12"/>
    </row>
    <row r="30" spans="1:29" x14ac:dyDescent="0.35">
      <c r="A30" s="39" t="s">
        <v>41</v>
      </c>
      <c r="B30" s="59">
        <v>0.31</v>
      </c>
      <c r="C30" s="36">
        <f>B30*G5</f>
        <v>0</v>
      </c>
      <c r="D30" s="47" t="s">
        <v>8</v>
      </c>
      <c r="E30" s="4"/>
      <c r="F30" s="51" t="s">
        <v>89</v>
      </c>
      <c r="G30" s="36">
        <f>IF(G29&lt;=96000,G29*B19,48000)</f>
        <v>0</v>
      </c>
      <c r="H30" s="101" t="s">
        <v>18</v>
      </c>
      <c r="I30" s="101"/>
      <c r="J30" s="102"/>
      <c r="K30" s="13"/>
      <c r="L30" s="4"/>
    </row>
    <row r="31" spans="1:29" x14ac:dyDescent="0.35">
      <c r="A31" s="39" t="s">
        <v>42</v>
      </c>
      <c r="B31" s="59">
        <v>0.36</v>
      </c>
      <c r="C31" s="36">
        <f>B31*G5</f>
        <v>0</v>
      </c>
      <c r="D31" s="47" t="s">
        <v>8</v>
      </c>
      <c r="E31" s="4"/>
      <c r="F31" s="51" t="s">
        <v>77</v>
      </c>
      <c r="G31" s="36">
        <f>IF(B8=0,0,G22+G24-B14/G2)</f>
        <v>0</v>
      </c>
      <c r="H31" s="101" t="s">
        <v>18</v>
      </c>
      <c r="I31" s="101"/>
      <c r="J31" s="102"/>
      <c r="K31" s="23"/>
      <c r="L31" s="4"/>
    </row>
    <row r="32" spans="1:29" x14ac:dyDescent="0.35">
      <c r="A32" s="60" t="s">
        <v>58</v>
      </c>
      <c r="B32" s="61"/>
      <c r="C32" s="62">
        <f>SUM(C29:C31)</f>
        <v>0</v>
      </c>
      <c r="D32" s="63" t="s">
        <v>8</v>
      </c>
      <c r="E32" s="4"/>
      <c r="F32" s="48" t="s">
        <v>19</v>
      </c>
      <c r="G32" s="54">
        <f>IFERROR((G29-G30)/G31,0)</f>
        <v>0</v>
      </c>
      <c r="H32" s="116" t="s">
        <v>7</v>
      </c>
      <c r="I32" s="116"/>
      <c r="J32" s="117"/>
      <c r="K32" s="23"/>
      <c r="L32" s="4"/>
    </row>
    <row r="33" spans="1:12" x14ac:dyDescent="0.35">
      <c r="A33" s="60" t="s">
        <v>61</v>
      </c>
      <c r="B33" s="61"/>
      <c r="C33" s="62">
        <f>IFERROR((C29+C30*11/42+C31*11/72)/(B7+B8),0)</f>
        <v>0</v>
      </c>
      <c r="D33" s="63" t="s">
        <v>8</v>
      </c>
      <c r="E33" s="4"/>
      <c r="F33" s="55" t="s">
        <v>78</v>
      </c>
      <c r="G33" s="45">
        <f>IFERROR(IRR(AC2:AC22)*100,0)</f>
        <v>0</v>
      </c>
      <c r="H33" s="101" t="s">
        <v>6</v>
      </c>
      <c r="I33" s="101"/>
      <c r="J33" s="102"/>
      <c r="K33" s="4"/>
      <c r="L33" s="4"/>
    </row>
    <row r="34" spans="1:12" x14ac:dyDescent="0.35">
      <c r="A34" s="64" t="s">
        <v>62</v>
      </c>
      <c r="B34" s="65"/>
      <c r="C34" s="66">
        <f>IFERROR((IF(B2&lt;&gt;0,B3,0)*B29+IF(B2&lt;&gt;0,B3,0)*B30*11/42+IF(B2&lt;&gt;0,B3,0)*B31*11/72)/(1),0)</f>
        <v>0</v>
      </c>
      <c r="D34" s="67" t="s">
        <v>8</v>
      </c>
      <c r="E34" s="22"/>
      <c r="F34" s="56" t="s">
        <v>79</v>
      </c>
      <c r="G34" s="57">
        <f>IFERROR(NPV(AC26,AC3:AC22)-G29,0)</f>
        <v>0</v>
      </c>
      <c r="H34" s="120" t="s">
        <v>2</v>
      </c>
      <c r="I34" s="120"/>
      <c r="J34" s="121"/>
      <c r="K34" s="4"/>
      <c r="L34" s="4"/>
    </row>
    <row r="35" spans="1:12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</sheetData>
  <sheetProtection algorithmName="SHA-512" hashValue="/QKbG8lUCDi7DFxHjPZlyKXRkTDYTMpmU702eEmAKAdrnRzLa1zUBIxzatOxCj9rIZiuwTS7HP5Q5UHXhvqPKQ==" saltValue="fbadVSy1fDp/H9FR4tvpaQ==" spinCount="100000" sheet="1" objects="1" scenarios="1"/>
  <mergeCells count="55">
    <mergeCell ref="C20:D20"/>
    <mergeCell ref="C26:D26"/>
    <mergeCell ref="C27:D27"/>
    <mergeCell ref="H30:J30"/>
    <mergeCell ref="H31:J31"/>
    <mergeCell ref="H32:J32"/>
    <mergeCell ref="H33:J33"/>
    <mergeCell ref="H34:J34"/>
    <mergeCell ref="H25:J25"/>
    <mergeCell ref="H26:J26"/>
    <mergeCell ref="H27:J27"/>
    <mergeCell ref="H28:J28"/>
    <mergeCell ref="H29:J29"/>
    <mergeCell ref="H6:J6"/>
    <mergeCell ref="H8:J8"/>
    <mergeCell ref="H18:J18"/>
    <mergeCell ref="H19:J19"/>
    <mergeCell ref="A28:D28"/>
    <mergeCell ref="H21:J21"/>
    <mergeCell ref="H22:J22"/>
    <mergeCell ref="H24:J24"/>
    <mergeCell ref="H23:J23"/>
    <mergeCell ref="C18:D18"/>
    <mergeCell ref="C19:D19"/>
    <mergeCell ref="C22:D22"/>
    <mergeCell ref="A21:D21"/>
    <mergeCell ref="H20:J20"/>
    <mergeCell ref="C9:D9"/>
    <mergeCell ref="C11:D11"/>
    <mergeCell ref="C12:D12"/>
    <mergeCell ref="C13:D13"/>
    <mergeCell ref="G9:H9"/>
    <mergeCell ref="C14:D14"/>
    <mergeCell ref="H17:J17"/>
    <mergeCell ref="A15:D15"/>
    <mergeCell ref="C16:D16"/>
    <mergeCell ref="C17:D17"/>
    <mergeCell ref="H16:J16"/>
    <mergeCell ref="F15:J15"/>
    <mergeCell ref="F1:J1"/>
    <mergeCell ref="L1:P1"/>
    <mergeCell ref="C4:D4"/>
    <mergeCell ref="I9:J9"/>
    <mergeCell ref="A1:D1"/>
    <mergeCell ref="C2:D2"/>
    <mergeCell ref="C3:D3"/>
    <mergeCell ref="C5:D5"/>
    <mergeCell ref="C6:D6"/>
    <mergeCell ref="C7:D7"/>
    <mergeCell ref="H2:J2"/>
    <mergeCell ref="H3:J3"/>
    <mergeCell ref="H4:J4"/>
    <mergeCell ref="H5:J5"/>
    <mergeCell ref="C8:D8"/>
    <mergeCell ref="H7:J7"/>
  </mergeCells>
  <conditionalFormatting sqref="G12">
    <cfRule type="expression" dxfId="1" priority="2">
      <formula>$G$12&lt;0</formula>
    </cfRule>
  </conditionalFormatting>
  <conditionalFormatting sqref="I12">
    <cfRule type="expression" dxfId="0" priority="1">
      <formula>$I$12&lt;0</formula>
    </cfRule>
  </conditionalFormatting>
  <dataValidations xWindow="465" yWindow="383" count="3">
    <dataValidation allowBlank="1" showInputMessage="1" showErrorMessage="1" prompt="Inserire questo dato solo se si è inserita la potenza totale degli impianti FV del Comune" sqref="B3"/>
    <dataValidation allowBlank="1" showInputMessage="1" showErrorMessage="1" prompt="Inserire questo dato solo se si è inserita la potenza totale dell'impianto FV produttori" sqref="B9"/>
    <dataValidation allowBlank="1" showInputMessage="1" showErrorMessage="1" prompt="Inserire questo dato solo se si è inserita la potenza media impianto FV prosumer" sqref="B8"/>
  </dataValidations>
  <pageMargins left="0.31496062992125984" right="0.31496062992125984" top="0.94488188976377963" bottom="0.43307086614173229" header="0.31496062992125984" footer="0.31496062992125984"/>
  <pageSetup paperSize="9" orientation="landscape" r:id="rId1"/>
  <headerFooter>
    <oddHeader>&amp;L&amp;10&amp;G&amp;C&amp;"-,Grassetto"&amp;12
SIMULAZIONE DI MASSIMA DI UNA COMUNITA' ENERGETICA RINNOVABILE&amp;R&amp;10
File: &amp;F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Gianfranco Malagola</dc:creator>
  <cp:lastModifiedBy>Gianfranco Malagola</cp:lastModifiedBy>
  <cp:lastPrinted>2022-06-23T20:08:11Z</cp:lastPrinted>
  <dcterms:created xsi:type="dcterms:W3CDTF">2022-04-05T20:43:27Z</dcterms:created>
  <dcterms:modified xsi:type="dcterms:W3CDTF">2022-06-23T20:08:32Z</dcterms:modified>
</cp:coreProperties>
</file>